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omass.sharepoint.com/sites/EDOMStaffHub-Treasury/Shared Documents/Treasury/Human Resources/Compensation and Benefits Committee/TCC/"/>
    </mc:Choice>
  </mc:AlternateContent>
  <xr:revisionPtr revIDLastSave="63" documentId="8_{DC58D718-7D72-4902-AF70-894775D3388B}" xr6:coauthVersionLast="47" xr6:coauthVersionMax="47" xr10:uidLastSave="{074D4232-E296-482E-989C-5A7D6D6B3745}"/>
  <bookViews>
    <workbookView xWindow="-120" yWindow="-120" windowWidth="29040" windowHeight="15720" xr2:uid="{00000000-000D-0000-FFFF-FFFF00000000}"/>
  </bookViews>
  <sheets>
    <sheet name="TCC Standard" sheetId="2" r:id="rId1"/>
    <sheet name="Negotiated TCC" sheetId="6" r:id="rId2"/>
    <sheet name="Total Cost to Parish" sheetId="5" r:id="rId3"/>
    <sheet name="For CPG" sheetId="4" r:id="rId4"/>
    <sheet name="Referenc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8" i="3"/>
  <c r="H27" i="3"/>
  <c r="H26" i="3"/>
  <c r="H25" i="3"/>
  <c r="N14" i="3" l="1"/>
  <c r="N13" i="3"/>
  <c r="N12" i="3"/>
  <c r="D16" i="5"/>
  <c r="H24" i="3" l="1"/>
  <c r="H23" i="3"/>
  <c r="H22" i="3"/>
  <c r="H21" i="3"/>
  <c r="H20" i="3"/>
  <c r="H19" i="3"/>
  <c r="H18" i="3"/>
  <c r="H17" i="3"/>
  <c r="H16" i="3"/>
  <c r="H15" i="3"/>
  <c r="H14" i="3"/>
  <c r="H13" i="3"/>
  <c r="B4" i="5" l="1"/>
  <c r="B3" i="5"/>
  <c r="B2" i="5"/>
  <c r="B1" i="5"/>
  <c r="B4" i="4"/>
  <c r="B3" i="4"/>
  <c r="B2" i="4"/>
  <c r="B1" i="4"/>
  <c r="B4" i="6"/>
  <c r="B3" i="6"/>
  <c r="B2" i="6"/>
  <c r="B1" i="6"/>
  <c r="C33" i="5"/>
  <c r="T21" i="3"/>
  <c r="W21" i="3" s="1"/>
  <c r="T20" i="3"/>
  <c r="W20" i="3" s="1"/>
  <c r="T19" i="3"/>
  <c r="W19" i="3" s="1"/>
  <c r="T17" i="3"/>
  <c r="W17" i="3" s="1"/>
  <c r="T18" i="3"/>
  <c r="W18" i="3" s="1"/>
  <c r="T16" i="3"/>
  <c r="W16" i="3" s="1"/>
  <c r="T15" i="3"/>
  <c r="W15" i="3" s="1"/>
  <c r="T14" i="3"/>
  <c r="W14" i="3" s="1"/>
  <c r="T13" i="3"/>
  <c r="W13" i="3" s="1"/>
  <c r="C17" i="5"/>
  <c r="W12" i="3"/>
  <c r="V21" i="3"/>
  <c r="V20" i="3"/>
  <c r="V19" i="3"/>
  <c r="V18" i="3"/>
  <c r="V17" i="3"/>
  <c r="V16" i="3"/>
  <c r="V15" i="3"/>
  <c r="V14" i="3"/>
  <c r="V13" i="3"/>
  <c r="V12" i="3"/>
  <c r="S21" i="3"/>
  <c r="S20" i="3"/>
  <c r="S19" i="3"/>
  <c r="S18" i="3"/>
  <c r="S17" i="3"/>
  <c r="S16" i="3"/>
  <c r="S15" i="3"/>
  <c r="S14" i="3"/>
  <c r="S13" i="3"/>
  <c r="S12" i="3"/>
  <c r="P21" i="3"/>
  <c r="P20" i="3"/>
  <c r="P19" i="3"/>
  <c r="P18" i="3"/>
  <c r="P17" i="3"/>
  <c r="P16" i="3"/>
  <c r="P15" i="3"/>
  <c r="P14" i="3"/>
  <c r="P13" i="3"/>
  <c r="P12" i="3"/>
  <c r="K24" i="3"/>
  <c r="K23" i="3"/>
  <c r="K22" i="3"/>
  <c r="K16" i="3"/>
  <c r="K18" i="3"/>
  <c r="K17" i="3"/>
  <c r="K19" i="3"/>
  <c r="K20" i="3"/>
  <c r="K21" i="3"/>
  <c r="C25" i="2"/>
  <c r="K29" i="3"/>
  <c r="K28" i="3"/>
  <c r="K27" i="3"/>
  <c r="C33" i="2"/>
  <c r="C31" i="2"/>
  <c r="C23" i="2"/>
  <c r="C24" i="2"/>
  <c r="C32" i="2"/>
  <c r="C25" i="6"/>
  <c r="C29" i="5" s="1"/>
  <c r="C27" i="6"/>
  <c r="C14" i="4" s="1"/>
  <c r="D12" i="3"/>
  <c r="D13" i="3"/>
  <c r="K14" i="3"/>
  <c r="K15" i="3"/>
  <c r="K25" i="3"/>
  <c r="K26" i="3"/>
  <c r="K30" i="3"/>
  <c r="K31" i="3"/>
  <c r="K32" i="3"/>
  <c r="K33" i="3"/>
  <c r="K12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D15" i="6"/>
  <c r="C13" i="4" l="1"/>
  <c r="K13" i="3"/>
  <c r="C16" i="5"/>
  <c r="C32" i="5" s="1"/>
  <c r="C26" i="2"/>
  <c r="C30" i="5"/>
  <c r="C28" i="2" l="1"/>
  <c r="C34" i="2" l="1"/>
  <c r="C6" i="6" s="1"/>
  <c r="C7" i="6"/>
  <c r="C8" i="6" l="1"/>
  <c r="C17" i="6" s="1"/>
  <c r="C24" i="6" l="1"/>
  <c r="C26" i="6"/>
  <c r="C18" i="4" s="1"/>
  <c r="C12" i="4" l="1"/>
  <c r="C19" i="4" s="1"/>
  <c r="C20" i="4" s="1"/>
  <c r="C28" i="5"/>
  <c r="C28" i="6"/>
  <c r="C29" i="6"/>
  <c r="C31" i="5" s="1"/>
  <c r="C34" i="5" l="1"/>
</calcChain>
</file>

<file path=xl/sharedStrings.xml><?xml version="1.0" encoding="utf-8"?>
<sst xmlns="http://schemas.openxmlformats.org/spreadsheetml/2006/main" count="151" uniqueCount="110">
  <si>
    <t>Priest</t>
  </si>
  <si>
    <t>Parish</t>
  </si>
  <si>
    <t>Reason for Change</t>
  </si>
  <si>
    <t>Date of Change</t>
  </si>
  <si>
    <t>Parish Information</t>
  </si>
  <si>
    <t>Position Details</t>
  </si>
  <si>
    <t>Enter the information into the blue boxes</t>
  </si>
  <si>
    <t>Percentage of full time</t>
  </si>
  <si>
    <t>Rector/PIC/Vicar/Interim</t>
  </si>
  <si>
    <t>Number of Years with Parish</t>
  </si>
  <si>
    <t>No</t>
  </si>
  <si>
    <t>Points</t>
  </si>
  <si>
    <t>Oper. Revenues</t>
  </si>
  <si>
    <t>Pledging Units</t>
  </si>
  <si>
    <t>ASA</t>
  </si>
  <si>
    <t>Total Points</t>
  </si>
  <si>
    <t>Position Adjustments</t>
  </si>
  <si>
    <t>Position Level</t>
  </si>
  <si>
    <t>FTE Percentage</t>
  </si>
  <si>
    <t>Longevity Value</t>
  </si>
  <si>
    <t>TCC Standard</t>
  </si>
  <si>
    <t>Enter any negotiated amounts into the blue boxes</t>
  </si>
  <si>
    <t>Consideration for special parish factors</t>
  </si>
  <si>
    <t>Consideration for special professional factors</t>
  </si>
  <si>
    <t>Utilities allowance paid to clergy</t>
  </si>
  <si>
    <t>Housing Equity Allowance</t>
  </si>
  <si>
    <t>TCC Adjusted for Additional Compensation</t>
  </si>
  <si>
    <t>Housing Information</t>
  </si>
  <si>
    <t>Enter the relevant information into the blue boxes</t>
  </si>
  <si>
    <t>Rectory utilities paid directly by parish</t>
  </si>
  <si>
    <t>Total Clergy Compensation</t>
  </si>
  <si>
    <t>Total Cash Compensation</t>
  </si>
  <si>
    <t>Pension Assessment</t>
  </si>
  <si>
    <t>Housing Allowance</t>
  </si>
  <si>
    <t>Housing/Utilties Allowance Election</t>
  </si>
  <si>
    <t>Enter the below information onto the CPG form on the corresponding lines</t>
  </si>
  <si>
    <t>Base salary (excluding housing)</t>
  </si>
  <si>
    <t>Employer Contributions to Qualified/Non-Qualified Plan</t>
  </si>
  <si>
    <t>Cash Housing Allowance and/or Utilities</t>
  </si>
  <si>
    <t>Additional Pension Information</t>
  </si>
  <si>
    <t>For informational purposes</t>
  </si>
  <si>
    <t>Total Assessed Compensation</t>
  </si>
  <si>
    <t>Benefit Options</t>
  </si>
  <si>
    <t>Select the options in the blue boxes</t>
  </si>
  <si>
    <r>
      <rPr>
        <sz val="11"/>
        <color rgb="FF000000"/>
        <rFont val="Arial"/>
      </rPr>
      <t xml:space="preserve">Medical Plan Covered by Parish </t>
    </r>
    <r>
      <rPr>
        <i/>
        <sz val="11"/>
        <color rgb="FF000000"/>
        <rFont val="Arial"/>
      </rPr>
      <t>(please select)</t>
    </r>
  </si>
  <si>
    <t>PPO 80</t>
  </si>
  <si>
    <r>
      <rPr>
        <sz val="11"/>
        <color rgb="FF000000"/>
        <rFont val="Arial"/>
      </rPr>
      <t xml:space="preserve">Dental Plan Covered by Parish </t>
    </r>
    <r>
      <rPr>
        <i/>
        <sz val="11"/>
        <color rgb="FF000000"/>
        <rFont val="Arial"/>
      </rPr>
      <t>(please select)</t>
    </r>
  </si>
  <si>
    <t>None</t>
  </si>
  <si>
    <r>
      <rPr>
        <sz val="11"/>
        <color rgb="FF000000"/>
        <rFont val="Arial"/>
      </rPr>
      <t xml:space="preserve">Priest's Medical Plan &amp; Tier </t>
    </r>
    <r>
      <rPr>
        <i/>
        <sz val="11"/>
        <color rgb="FF000000"/>
        <rFont val="Arial"/>
      </rPr>
      <t>(please select both)</t>
    </r>
  </si>
  <si>
    <t>Single</t>
  </si>
  <si>
    <r>
      <rPr>
        <sz val="11"/>
        <color rgb="FF000000"/>
        <rFont val="Arial"/>
      </rPr>
      <t xml:space="preserve">Priest's Dental Plan &amp; Tier </t>
    </r>
    <r>
      <rPr>
        <i/>
        <sz val="11"/>
        <color rgb="FF000000"/>
        <rFont val="Arial"/>
      </rPr>
      <t>(please select both)</t>
    </r>
  </si>
  <si>
    <t>Employer Insurance Costs</t>
  </si>
  <si>
    <t>Enter the cost of relevant insurances in the blue boxes</t>
  </si>
  <si>
    <t>Worker's Compensation Insurance</t>
  </si>
  <si>
    <t>Medical Insurance</t>
  </si>
  <si>
    <t>Dental Insurance</t>
  </si>
  <si>
    <t>Expenses</t>
  </si>
  <si>
    <t>Enter the cost of expenses attributable to the priest in the blue boxes</t>
  </si>
  <si>
    <t>Travel Reimbursement</t>
  </si>
  <si>
    <t>Office Expenses</t>
  </si>
  <si>
    <t>Continuing Education/Fees</t>
  </si>
  <si>
    <t>Supply Clergy</t>
  </si>
  <si>
    <t>Other</t>
  </si>
  <si>
    <t>Total Cost to Parish</t>
  </si>
  <si>
    <t>Total Employer Insurance Costs</t>
  </si>
  <si>
    <t>Total Expenses</t>
  </si>
  <si>
    <t>Associate Rector</t>
  </si>
  <si>
    <t>Assistant Rector</t>
  </si>
  <si>
    <t>Curate</t>
  </si>
  <si>
    <t>Medical Plans</t>
  </si>
  <si>
    <t>Medical Rates</t>
  </si>
  <si>
    <t>Parish Medical Contribution</t>
  </si>
  <si>
    <t>Priest Medical Contribution</t>
  </si>
  <si>
    <t>HSA Contribution</t>
  </si>
  <si>
    <t>Dental Rates</t>
  </si>
  <si>
    <t>Parish Dental Contribution</t>
  </si>
  <si>
    <t>Priest Dental Contribution</t>
  </si>
  <si>
    <t>Employee +1</t>
  </si>
  <si>
    <t>PPO 90</t>
  </si>
  <si>
    <t>Family</t>
  </si>
  <si>
    <t>PPO 100</t>
  </si>
  <si>
    <t>CDHP-20</t>
  </si>
  <si>
    <t>MSP PPO 80</t>
  </si>
  <si>
    <t>MSP PPO 90</t>
  </si>
  <si>
    <t>MSP PPO 100</t>
  </si>
  <si>
    <t>Dental Plans</t>
  </si>
  <si>
    <t>Preventive</t>
  </si>
  <si>
    <t>Basic</t>
  </si>
  <si>
    <t>Orthodonture</t>
  </si>
  <si>
    <t>Plan Tiers</t>
  </si>
  <si>
    <t>TCC Standard Calculation</t>
  </si>
  <si>
    <t>Information for CPG for Pension Enrollment</t>
  </si>
  <si>
    <t>Total Assessable Compensation</t>
  </si>
  <si>
    <t>Imputed Value of Rectory</t>
  </si>
  <si>
    <t>Cash Portion of TCC Standard</t>
  </si>
  <si>
    <r>
      <t xml:space="preserve">Level of position </t>
    </r>
    <r>
      <rPr>
        <i/>
        <sz val="11"/>
        <rFont val="Arial"/>
        <family val="2"/>
      </rPr>
      <t>(please select)</t>
    </r>
  </si>
  <si>
    <r>
      <t xml:space="preserve">Do you provide a rectory? </t>
    </r>
    <r>
      <rPr>
        <i/>
        <sz val="11"/>
        <rFont val="Arial"/>
        <family val="2"/>
      </rPr>
      <t>(please select)</t>
    </r>
  </si>
  <si>
    <t>Parish Base Calculation</t>
  </si>
  <si>
    <t>The Parish Base is calculated based on the information above</t>
  </si>
  <si>
    <t>Parish Base</t>
  </si>
  <si>
    <t>Additional Cash Compensation (in addition to TCC Standard)</t>
  </si>
  <si>
    <r>
      <t xml:space="preserve">SECA Reimbursement </t>
    </r>
    <r>
      <rPr>
        <i/>
        <sz val="11"/>
        <rFont val="Arial"/>
        <family val="2"/>
      </rPr>
      <t>(please select)</t>
    </r>
  </si>
  <si>
    <t>TCC Standard Values</t>
  </si>
  <si>
    <t>Base</t>
  </si>
  <si>
    <t>Factor</t>
  </si>
  <si>
    <t>Average Sunday Attendance (Page 3 Line 13)</t>
  </si>
  <si>
    <t>Number of Adult Pledging Units (Page 5 Line 1)</t>
  </si>
  <si>
    <t>Total Current Operating Revenues (Page 5 Line B)</t>
  </si>
  <si>
    <t>Average Weekly Online Worship (Page 3 Line 20b)</t>
  </si>
  <si>
    <t>Enter the values from the most recent Parochial Report into the blue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</si>
</sst>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2" applyFont="1"/>
    <xf numFmtId="164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4" fillId="0" borderId="0" xfId="0" applyFont="1"/>
    <xf numFmtId="0" fontId="3" fillId="2" borderId="0" xfId="0" applyFont="1" applyFill="1"/>
    <xf numFmtId="0" fontId="2" fillId="2" borderId="0" xfId="0" applyFont="1" applyFill="1"/>
    <xf numFmtId="43" fontId="2" fillId="2" borderId="0" xfId="1" applyFont="1" applyFill="1"/>
    <xf numFmtId="0" fontId="5" fillId="0" borderId="0" xfId="0" applyFont="1"/>
    <xf numFmtId="0" fontId="2" fillId="3" borderId="0" xfId="0" applyFont="1" applyFill="1"/>
    <xf numFmtId="43" fontId="2" fillId="3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3" borderId="0" xfId="1" applyNumberFormat="1" applyFont="1" applyFill="1"/>
    <xf numFmtId="9" fontId="8" fillId="3" borderId="0" xfId="2" applyFont="1" applyFill="1"/>
    <xf numFmtId="0" fontId="8" fillId="3" borderId="0" xfId="0" applyFont="1" applyFill="1"/>
    <xf numFmtId="164" fontId="8" fillId="0" borderId="0" xfId="1" applyNumberFormat="1" applyFont="1"/>
    <xf numFmtId="164" fontId="8" fillId="0" borderId="0" xfId="1" applyNumberFormat="1" applyFont="1" applyFill="1"/>
    <xf numFmtId="43" fontId="8" fillId="0" borderId="0" xfId="1" applyFont="1"/>
    <xf numFmtId="43" fontId="8" fillId="0" borderId="0" xfId="0" applyNumberFormat="1" applyFont="1"/>
    <xf numFmtId="9" fontId="8" fillId="0" borderId="0" xfId="2" applyFont="1"/>
    <xf numFmtId="9" fontId="8" fillId="0" borderId="0" xfId="0" applyNumberFormat="1" applyFont="1"/>
    <xf numFmtId="43" fontId="8" fillId="0" borderId="0" xfId="1" applyFont="1" applyFill="1"/>
    <xf numFmtId="0" fontId="7" fillId="2" borderId="0" xfId="0" applyFont="1" applyFill="1"/>
    <xf numFmtId="43" fontId="7" fillId="2" borderId="0" xfId="1" applyFont="1" applyFill="1"/>
    <xf numFmtId="0" fontId="8" fillId="0" borderId="0" xfId="1" applyNumberFormat="1" applyFont="1" applyFill="1"/>
    <xf numFmtId="0" fontId="8" fillId="2" borderId="0" xfId="0" applyFont="1" applyFill="1"/>
    <xf numFmtId="43" fontId="8" fillId="2" borderId="0" xfId="1" applyFont="1" applyFill="1"/>
    <xf numFmtId="0" fontId="10" fillId="0" borderId="0" xfId="0" applyFont="1"/>
    <xf numFmtId="0" fontId="9" fillId="2" borderId="0" xfId="0" applyFont="1" applyFill="1"/>
    <xf numFmtId="43" fontId="8" fillId="2" borderId="0" xfId="0" applyNumberFormat="1" applyFont="1" applyFill="1"/>
    <xf numFmtId="0" fontId="8" fillId="3" borderId="0" xfId="0" applyFont="1" applyFill="1"/>
    <xf numFmtId="165" fontId="8" fillId="3" borderId="0" xfId="0" applyNumberFormat="1" applyFont="1" applyFill="1" applyAlignment="1">
      <alignment horizontal="left"/>
    </xf>
    <xf numFmtId="0" fontId="2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tabSelected="1" workbookViewId="0"/>
  </sheetViews>
  <sheetFormatPr defaultColWidth="12.85546875" defaultRowHeight="14.25" x14ac:dyDescent="0.2"/>
  <cols>
    <col min="1" max="3" width="25.7109375" style="15" customWidth="1"/>
    <col min="4" max="16384" width="12.85546875" style="15"/>
  </cols>
  <sheetData>
    <row r="1" spans="1:3" ht="15" x14ac:dyDescent="0.25">
      <c r="A1" s="14" t="s">
        <v>0</v>
      </c>
      <c r="B1" s="35"/>
      <c r="C1" s="35"/>
    </row>
    <row r="2" spans="1:3" ht="15" x14ac:dyDescent="0.25">
      <c r="A2" s="14" t="s">
        <v>1</v>
      </c>
      <c r="B2" s="35"/>
      <c r="C2" s="35"/>
    </row>
    <row r="3" spans="1:3" ht="15" x14ac:dyDescent="0.25">
      <c r="A3" s="14" t="s">
        <v>2</v>
      </c>
      <c r="B3" s="35"/>
      <c r="C3" s="35"/>
    </row>
    <row r="4" spans="1:3" ht="15" x14ac:dyDescent="0.25">
      <c r="A4" s="14" t="s">
        <v>3</v>
      </c>
      <c r="B4" s="36"/>
      <c r="C4" s="36"/>
    </row>
    <row r="6" spans="1:3" ht="15" x14ac:dyDescent="0.25">
      <c r="A6" s="14" t="s">
        <v>4</v>
      </c>
    </row>
    <row r="7" spans="1:3" ht="14.25" customHeight="1" x14ac:dyDescent="0.2">
      <c r="A7" s="16" t="s">
        <v>109</v>
      </c>
      <c r="B7" s="16"/>
      <c r="C7" s="16"/>
    </row>
    <row r="8" spans="1:3" x14ac:dyDescent="0.2">
      <c r="A8" s="15" t="s">
        <v>107</v>
      </c>
      <c r="C8" s="17"/>
    </row>
    <row r="9" spans="1:3" x14ac:dyDescent="0.2">
      <c r="A9" s="15" t="s">
        <v>106</v>
      </c>
      <c r="C9" s="17"/>
    </row>
    <row r="10" spans="1:3" x14ac:dyDescent="0.2">
      <c r="A10" s="15" t="s">
        <v>105</v>
      </c>
      <c r="C10" s="17"/>
    </row>
    <row r="11" spans="1:3" x14ac:dyDescent="0.2">
      <c r="A11" s="15" t="s">
        <v>108</v>
      </c>
      <c r="C11" s="17"/>
    </row>
    <row r="13" spans="1:3" ht="15" x14ac:dyDescent="0.25">
      <c r="A13" s="14" t="s">
        <v>5</v>
      </c>
    </row>
    <row r="14" spans="1:3" x14ac:dyDescent="0.2">
      <c r="A14" s="16" t="s">
        <v>6</v>
      </c>
    </row>
    <row r="15" spans="1:3" x14ac:dyDescent="0.2">
      <c r="A15" s="15" t="s">
        <v>7</v>
      </c>
      <c r="C15" s="18">
        <v>1</v>
      </c>
    </row>
    <row r="16" spans="1:3" x14ac:dyDescent="0.2">
      <c r="A16" s="15" t="s">
        <v>95</v>
      </c>
      <c r="C16" s="19" t="s">
        <v>8</v>
      </c>
    </row>
    <row r="17" spans="1:4" x14ac:dyDescent="0.2">
      <c r="A17" s="15" t="s">
        <v>9</v>
      </c>
      <c r="C17" s="17">
        <v>0</v>
      </c>
    </row>
    <row r="18" spans="1:4" x14ac:dyDescent="0.2">
      <c r="A18" s="15" t="s">
        <v>96</v>
      </c>
      <c r="C18" s="19" t="s">
        <v>10</v>
      </c>
    </row>
    <row r="20" spans="1:4" ht="15" x14ac:dyDescent="0.25">
      <c r="A20" s="14" t="s">
        <v>97</v>
      </c>
    </row>
    <row r="21" spans="1:4" x14ac:dyDescent="0.2">
      <c r="A21" s="16" t="s">
        <v>98</v>
      </c>
    </row>
    <row r="22" spans="1:4" ht="15" x14ac:dyDescent="0.25">
      <c r="A22" s="14" t="s">
        <v>11</v>
      </c>
    </row>
    <row r="23" spans="1:4" x14ac:dyDescent="0.2">
      <c r="A23" s="15" t="s">
        <v>12</v>
      </c>
      <c r="C23" s="20">
        <f>ROUND(Reference!B36*C8/1000, 0)</f>
        <v>0</v>
      </c>
    </row>
    <row r="24" spans="1:4" x14ac:dyDescent="0.2">
      <c r="A24" s="15" t="s">
        <v>13</v>
      </c>
      <c r="C24" s="20">
        <f>ROUND(Reference!B37*C9, 0)</f>
        <v>0</v>
      </c>
    </row>
    <row r="25" spans="1:4" x14ac:dyDescent="0.2">
      <c r="A25" s="15" t="s">
        <v>14</v>
      </c>
      <c r="C25" s="21">
        <f>ROUND(Reference!B38*(C10+C11*1.5), 0)</f>
        <v>0</v>
      </c>
    </row>
    <row r="26" spans="1:4" x14ac:dyDescent="0.2">
      <c r="A26" s="15" t="s">
        <v>15</v>
      </c>
      <c r="C26" s="20">
        <f>SUM(C23:C25)</f>
        <v>0</v>
      </c>
    </row>
    <row r="27" spans="1:4" x14ac:dyDescent="0.2">
      <c r="C27" s="20"/>
    </row>
    <row r="28" spans="1:4" x14ac:dyDescent="0.2">
      <c r="A28" s="15" t="s">
        <v>99</v>
      </c>
      <c r="C28" s="22">
        <f>ROUND(Reference!B2+MAX(C26, 30)*Reference!B3, 0)</f>
        <v>90951</v>
      </c>
      <c r="D28" s="23"/>
    </row>
    <row r="30" spans="1:4" ht="15" x14ac:dyDescent="0.25">
      <c r="A30" s="14" t="s">
        <v>16</v>
      </c>
    </row>
    <row r="31" spans="1:4" x14ac:dyDescent="0.2">
      <c r="A31" s="15" t="s">
        <v>17</v>
      </c>
      <c r="C31" s="24">
        <f>VLOOKUP('TCC Standard'!C16, Reference!A6:B9, 2, FALSE)</f>
        <v>1</v>
      </c>
    </row>
    <row r="32" spans="1:4" x14ac:dyDescent="0.2">
      <c r="A32" s="15" t="s">
        <v>18</v>
      </c>
      <c r="C32" s="25">
        <f>C15</f>
        <v>1</v>
      </c>
    </row>
    <row r="33" spans="1:3" x14ac:dyDescent="0.2">
      <c r="A33" s="15" t="s">
        <v>19</v>
      </c>
      <c r="C33" s="26">
        <f>500*MIN(C17, 10)</f>
        <v>0</v>
      </c>
    </row>
    <row r="34" spans="1:3" ht="15" x14ac:dyDescent="0.25">
      <c r="A34" s="27" t="s">
        <v>20</v>
      </c>
      <c r="B34" s="27"/>
      <c r="C34" s="28">
        <f>ROUND((C28+C33)*C31*C32, 2)</f>
        <v>90951</v>
      </c>
    </row>
  </sheetData>
  <mergeCells count="4">
    <mergeCell ref="B1:C1"/>
    <mergeCell ref="B3:C3"/>
    <mergeCell ref="B4:C4"/>
    <mergeCell ref="B2:C2"/>
  </mergeCells>
  <dataValidations count="2">
    <dataValidation type="whole" allowBlank="1" showInputMessage="1" showErrorMessage="1" sqref="C17" xr:uid="{00000000-0002-0000-0200-000000000000}">
      <formula1>0</formula1>
      <formula2>100</formula2>
    </dataValidation>
    <dataValidation type="list" allowBlank="1" showInputMessage="1" showErrorMessage="1" sqref="C18" xr:uid="{00000000-0002-0000-0100-000000000000}">
      <formula1>"Yes, 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Reference!$A$6:$A$9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/>
  </sheetViews>
  <sheetFormatPr defaultColWidth="12.85546875" defaultRowHeight="14.25" x14ac:dyDescent="0.2"/>
  <cols>
    <col min="1" max="3" width="25.7109375" style="15" customWidth="1"/>
    <col min="4" max="16384" width="12.85546875" style="15"/>
  </cols>
  <sheetData>
    <row r="1" spans="1:4" ht="15" x14ac:dyDescent="0.25">
      <c r="A1" s="14" t="s">
        <v>0</v>
      </c>
      <c r="B1" s="35" t="str">
        <f>IF('TCC Standard'!B1=0, "", 'TCC Standard'!B1)</f>
        <v/>
      </c>
      <c r="C1" s="35"/>
    </row>
    <row r="2" spans="1:4" ht="15" x14ac:dyDescent="0.25">
      <c r="A2" s="14" t="s">
        <v>1</v>
      </c>
      <c r="B2" s="35" t="str">
        <f>IF('TCC Standard'!B2=0, "", 'TCC Standard'!B2)</f>
        <v/>
      </c>
      <c r="C2" s="35"/>
    </row>
    <row r="3" spans="1:4" ht="15" x14ac:dyDescent="0.25">
      <c r="A3" s="14" t="s">
        <v>2</v>
      </c>
      <c r="B3" s="35" t="str">
        <f>IF('TCC Standard'!B3=0, "", 'TCC Standard'!B3)</f>
        <v/>
      </c>
      <c r="C3" s="35"/>
    </row>
    <row r="4" spans="1:4" ht="15" x14ac:dyDescent="0.25">
      <c r="A4" s="14" t="s">
        <v>3</v>
      </c>
      <c r="B4" s="36" t="str">
        <f>IF('TCC Standard'!B4=0, "", 'TCC Standard'!B4)</f>
        <v/>
      </c>
      <c r="C4" s="36"/>
    </row>
    <row r="6" spans="1:4" ht="15" x14ac:dyDescent="0.25">
      <c r="A6" s="14" t="s">
        <v>20</v>
      </c>
      <c r="C6" s="23">
        <f>'TCC Standard'!C34</f>
        <v>90951</v>
      </c>
    </row>
    <row r="7" spans="1:4" ht="15" x14ac:dyDescent="0.25">
      <c r="A7" s="14" t="s">
        <v>93</v>
      </c>
      <c r="C7" s="22">
        <f>ROUND(IF('TCC Standard'!C18="No", 0, (0.3/1.3)*(('TCC Standard'!C28+'TCC Standard'!C33)*'TCC Standard'!C31*'TCC Standard'!C32)), 2)</f>
        <v>0</v>
      </c>
    </row>
    <row r="8" spans="1:4" ht="15" x14ac:dyDescent="0.25">
      <c r="A8" s="14" t="s">
        <v>94</v>
      </c>
      <c r="C8" s="23">
        <f>C6-C7</f>
        <v>90951</v>
      </c>
    </row>
    <row r="10" spans="1:4" ht="15" x14ac:dyDescent="0.25">
      <c r="A10" s="14" t="s">
        <v>100</v>
      </c>
    </row>
    <row r="11" spans="1:4" x14ac:dyDescent="0.2">
      <c r="A11" s="16" t="s">
        <v>21</v>
      </c>
    </row>
    <row r="12" spans="1:4" x14ac:dyDescent="0.2">
      <c r="A12" s="15" t="s">
        <v>22</v>
      </c>
      <c r="C12" s="17">
        <v>0</v>
      </c>
    </row>
    <row r="13" spans="1:4" x14ac:dyDescent="0.2">
      <c r="A13" s="15" t="s">
        <v>23</v>
      </c>
      <c r="C13" s="17">
        <v>0</v>
      </c>
    </row>
    <row r="14" spans="1:4" x14ac:dyDescent="0.2">
      <c r="A14" s="15" t="s">
        <v>24</v>
      </c>
      <c r="C14" s="17">
        <v>0</v>
      </c>
    </row>
    <row r="15" spans="1:4" x14ac:dyDescent="0.2">
      <c r="A15" s="15" t="s">
        <v>101</v>
      </c>
      <c r="C15" s="19" t="s">
        <v>10</v>
      </c>
      <c r="D15" s="23">
        <f>IF(C15="No",0,ROUND(SUM(C6,C12:C14, C21)*(0.0765/0.9235),2))</f>
        <v>0</v>
      </c>
    </row>
    <row r="16" spans="1:4" x14ac:dyDescent="0.2">
      <c r="A16" s="15" t="s">
        <v>25</v>
      </c>
      <c r="C16" s="17">
        <v>0</v>
      </c>
    </row>
    <row r="17" spans="1:4" ht="15" x14ac:dyDescent="0.25">
      <c r="A17" s="14" t="s">
        <v>26</v>
      </c>
      <c r="C17" s="26">
        <f>SUM(C8,C12:C14,D15,C16)</f>
        <v>90951</v>
      </c>
    </row>
    <row r="18" spans="1:4" x14ac:dyDescent="0.2">
      <c r="C18" s="29"/>
    </row>
    <row r="19" spans="1:4" ht="15" x14ac:dyDescent="0.25">
      <c r="A19" s="14" t="s">
        <v>27</v>
      </c>
    </row>
    <row r="20" spans="1:4" x14ac:dyDescent="0.2">
      <c r="A20" s="16" t="s">
        <v>28</v>
      </c>
    </row>
    <row r="21" spans="1:4" x14ac:dyDescent="0.2">
      <c r="A21" s="15" t="s">
        <v>29</v>
      </c>
      <c r="C21" s="17">
        <v>0</v>
      </c>
    </row>
    <row r="23" spans="1:4" ht="15" x14ac:dyDescent="0.25">
      <c r="A23" s="27" t="s">
        <v>30</v>
      </c>
      <c r="B23" s="30"/>
      <c r="C23" s="30"/>
    </row>
    <row r="24" spans="1:4" x14ac:dyDescent="0.2">
      <c r="A24" s="30" t="s">
        <v>31</v>
      </c>
      <c r="B24" s="30"/>
      <c r="C24" s="31">
        <f>C17-C16</f>
        <v>90951</v>
      </c>
      <c r="D24" s="23"/>
    </row>
    <row r="25" spans="1:4" x14ac:dyDescent="0.2">
      <c r="A25" s="30" t="s">
        <v>25</v>
      </c>
      <c r="B25" s="30"/>
      <c r="C25" s="31">
        <f>C16</f>
        <v>0</v>
      </c>
    </row>
    <row r="26" spans="1:4" x14ac:dyDescent="0.2">
      <c r="A26" s="30" t="s">
        <v>93</v>
      </c>
      <c r="B26" s="30"/>
      <c r="C26" s="31">
        <f>ROUND(IF('TCC Standard'!C18="No", 0, 0.3*(C17+C21)), 2)</f>
        <v>0</v>
      </c>
    </row>
    <row r="27" spans="1:4" x14ac:dyDescent="0.2">
      <c r="A27" s="30" t="s">
        <v>29</v>
      </c>
      <c r="B27" s="30"/>
      <c r="C27" s="31">
        <f>C21</f>
        <v>0</v>
      </c>
    </row>
    <row r="28" spans="1:4" x14ac:dyDescent="0.2">
      <c r="A28" s="30" t="s">
        <v>92</v>
      </c>
      <c r="B28" s="30"/>
      <c r="C28" s="31">
        <f>SUM(C24:C27)</f>
        <v>90951</v>
      </c>
    </row>
    <row r="29" spans="1:4" x14ac:dyDescent="0.2">
      <c r="A29" s="30" t="s">
        <v>32</v>
      </c>
      <c r="B29" s="30"/>
      <c r="C29" s="31">
        <f>ROUND(0.18*SUM(C24:C27), 2)</f>
        <v>16371.18</v>
      </c>
    </row>
  </sheetData>
  <mergeCells count="4">
    <mergeCell ref="B1:C1"/>
    <mergeCell ref="B2:C2"/>
    <mergeCell ref="B3:C3"/>
    <mergeCell ref="B4:C4"/>
  </mergeCells>
  <dataValidations count="1">
    <dataValidation type="list" allowBlank="1" showInputMessage="1" showErrorMessage="1" sqref="C15" xr:uid="{00000000-0002-0000-0100-000000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workbookViewId="0"/>
  </sheetViews>
  <sheetFormatPr defaultColWidth="12.85546875" defaultRowHeight="14.25" x14ac:dyDescent="0.2"/>
  <cols>
    <col min="1" max="4" width="25.7109375" style="1" customWidth="1"/>
    <col min="5" max="16384" width="12.85546875" style="1"/>
  </cols>
  <sheetData>
    <row r="1" spans="1:4" ht="15" x14ac:dyDescent="0.25">
      <c r="A1" s="2" t="s">
        <v>0</v>
      </c>
      <c r="B1" s="37" t="str">
        <f>IF('TCC Standard'!B1=0, "", 'TCC Standard'!B1)</f>
        <v/>
      </c>
      <c r="C1" s="37"/>
    </row>
    <row r="2" spans="1:4" ht="15" x14ac:dyDescent="0.25">
      <c r="A2" s="2" t="s">
        <v>1</v>
      </c>
      <c r="B2" s="37" t="str">
        <f>IF('TCC Standard'!B2=0, "", 'TCC Standard'!B2)</f>
        <v/>
      </c>
      <c r="C2" s="37"/>
    </row>
    <row r="3" spans="1:4" ht="15" x14ac:dyDescent="0.25">
      <c r="A3" s="2" t="s">
        <v>2</v>
      </c>
      <c r="B3" s="37" t="str">
        <f>IF('TCC Standard'!B3=0, "", 'TCC Standard'!B3)</f>
        <v/>
      </c>
      <c r="C3" s="37"/>
    </row>
    <row r="4" spans="1:4" ht="15" x14ac:dyDescent="0.25">
      <c r="A4" s="2" t="s">
        <v>3</v>
      </c>
      <c r="B4" s="36" t="str">
        <f>IF('TCC Standard'!B4=0, "", 'TCC Standard'!B4)</f>
        <v/>
      </c>
      <c r="C4" s="36"/>
    </row>
    <row r="5" spans="1:4" customFormat="1" ht="15" x14ac:dyDescent="0.25"/>
    <row r="6" spans="1:4" ht="15" x14ac:dyDescent="0.25">
      <c r="A6" s="2" t="s">
        <v>42</v>
      </c>
    </row>
    <row r="7" spans="1:4" x14ac:dyDescent="0.2">
      <c r="A7" s="7" t="s">
        <v>43</v>
      </c>
    </row>
    <row r="8" spans="1:4" x14ac:dyDescent="0.2">
      <c r="A8" s="11" t="s">
        <v>44</v>
      </c>
      <c r="C8" s="12" t="s">
        <v>45</v>
      </c>
    </row>
    <row r="9" spans="1:4" x14ac:dyDescent="0.2">
      <c r="A9" s="11" t="s">
        <v>46</v>
      </c>
      <c r="C9" s="12" t="s">
        <v>47</v>
      </c>
    </row>
    <row r="10" spans="1:4" x14ac:dyDescent="0.2">
      <c r="A10" s="11" t="s">
        <v>48</v>
      </c>
      <c r="C10" s="12" t="s">
        <v>45</v>
      </c>
      <c r="D10" s="12" t="s">
        <v>49</v>
      </c>
    </row>
    <row r="11" spans="1:4" x14ac:dyDescent="0.2">
      <c r="A11" s="11" t="s">
        <v>50</v>
      </c>
      <c r="C11" s="12" t="s">
        <v>47</v>
      </c>
      <c r="D11" s="12" t="s">
        <v>47</v>
      </c>
    </row>
    <row r="13" spans="1:4" ht="15" x14ac:dyDescent="0.25">
      <c r="A13" s="2" t="s">
        <v>51</v>
      </c>
    </row>
    <row r="14" spans="1:4" x14ac:dyDescent="0.2">
      <c r="A14" s="7" t="s">
        <v>52</v>
      </c>
    </row>
    <row r="15" spans="1:4" x14ac:dyDescent="0.2">
      <c r="A15" s="1" t="s">
        <v>53</v>
      </c>
      <c r="C15" s="13">
        <v>0</v>
      </c>
    </row>
    <row r="16" spans="1:4" x14ac:dyDescent="0.2">
      <c r="A16" s="1" t="s">
        <v>54</v>
      </c>
      <c r="C16" s="6">
        <f>IF(OR(C10="None", D10="None"), 0, VLOOKUP(C10&amp;D10, Reference!G12:H33, 2, FALSE))</f>
        <v>12948</v>
      </c>
      <c r="D16" s="1" t="str">
        <f>IF('TCC Standard'!C15&lt;0.5, "Employees working less than 1,000 hours per year are not eligible for health insurance. This figure is only for parishes sharing a priest with another parish.", "")</f>
        <v/>
      </c>
    </row>
    <row r="17" spans="1:3" x14ac:dyDescent="0.2">
      <c r="A17" s="1" t="s">
        <v>55</v>
      </c>
      <c r="C17" s="6">
        <f>IF(C9="None", 0, VLOOKUP(C11&amp;D11, Reference!S12:T21, 2, FALSE))</f>
        <v>0</v>
      </c>
    </row>
    <row r="19" spans="1:3" ht="15" x14ac:dyDescent="0.25">
      <c r="A19" s="2" t="s">
        <v>56</v>
      </c>
    </row>
    <row r="20" spans="1:3" x14ac:dyDescent="0.2">
      <c r="A20" s="7" t="s">
        <v>57</v>
      </c>
    </row>
    <row r="21" spans="1:3" x14ac:dyDescent="0.2">
      <c r="A21" s="1" t="s">
        <v>58</v>
      </c>
      <c r="C21" s="13">
        <v>0</v>
      </c>
    </row>
    <row r="22" spans="1:3" x14ac:dyDescent="0.2">
      <c r="A22" s="1" t="s">
        <v>59</v>
      </c>
      <c r="C22" s="13">
        <v>0</v>
      </c>
    </row>
    <row r="23" spans="1:3" x14ac:dyDescent="0.2">
      <c r="A23" s="1" t="s">
        <v>60</v>
      </c>
      <c r="C23" s="13">
        <v>0</v>
      </c>
    </row>
    <row r="24" spans="1:3" x14ac:dyDescent="0.2">
      <c r="A24" s="1" t="s">
        <v>61</v>
      </c>
      <c r="C24" s="13">
        <v>0</v>
      </c>
    </row>
    <row r="25" spans="1:3" x14ac:dyDescent="0.2">
      <c r="A25" s="1" t="s">
        <v>62</v>
      </c>
      <c r="C25" s="13">
        <v>0</v>
      </c>
    </row>
    <row r="27" spans="1:3" ht="15" x14ac:dyDescent="0.25">
      <c r="A27" s="8" t="s">
        <v>63</v>
      </c>
      <c r="B27" s="9"/>
      <c r="C27" s="9"/>
    </row>
    <row r="28" spans="1:3" x14ac:dyDescent="0.2">
      <c r="A28" s="9" t="s">
        <v>31</v>
      </c>
      <c r="B28" s="9"/>
      <c r="C28" s="10">
        <f>'Negotiated TCC'!C24</f>
        <v>90951</v>
      </c>
    </row>
    <row r="29" spans="1:3" x14ac:dyDescent="0.2">
      <c r="A29" s="9" t="s">
        <v>25</v>
      </c>
      <c r="B29" s="9"/>
      <c r="C29" s="10">
        <f>'Negotiated TCC'!C25</f>
        <v>0</v>
      </c>
    </row>
    <row r="30" spans="1:3" x14ac:dyDescent="0.2">
      <c r="A30" s="9" t="s">
        <v>29</v>
      </c>
      <c r="B30" s="9"/>
      <c r="C30" s="10">
        <f>'Negotiated TCC'!C27</f>
        <v>0</v>
      </c>
    </row>
    <row r="31" spans="1:3" x14ac:dyDescent="0.2">
      <c r="A31" s="9" t="s">
        <v>32</v>
      </c>
      <c r="B31" s="9"/>
      <c r="C31" s="10">
        <f>'Negotiated TCC'!C29</f>
        <v>16371.18</v>
      </c>
    </row>
    <row r="32" spans="1:3" x14ac:dyDescent="0.2">
      <c r="A32" s="9" t="s">
        <v>64</v>
      </c>
      <c r="B32" s="9"/>
      <c r="C32" s="10">
        <f>SUM(C15:C17)</f>
        <v>12948</v>
      </c>
    </row>
    <row r="33" spans="1:3" x14ac:dyDescent="0.2">
      <c r="A33" s="9" t="s">
        <v>65</v>
      </c>
      <c r="B33" s="9"/>
      <c r="C33" s="10">
        <f>SUM(C21:C25)</f>
        <v>0</v>
      </c>
    </row>
    <row r="34" spans="1:3" ht="15" x14ac:dyDescent="0.25">
      <c r="A34" s="8" t="s">
        <v>63</v>
      </c>
      <c r="B34" s="9"/>
      <c r="C34" s="10">
        <f>SUM(C28:C33)</f>
        <v>120270.18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4000000}">
          <x14:formula1>
            <xm:f>Reference!$A$22:$A$25</xm:f>
          </x14:formula1>
          <xm:sqref>C9 C11</xm:sqref>
        </x14:dataValidation>
        <x14:dataValidation type="list" allowBlank="1" showInputMessage="1" showErrorMessage="1" xr:uid="{00000000-0002-0000-0200-000003000000}">
          <x14:formula1>
            <xm:f>Reference!$A$28:$A$31</xm:f>
          </x14:formula1>
          <xm:sqref>D10:D11</xm:sqref>
        </x14:dataValidation>
        <x14:dataValidation type="list" allowBlank="1" showInputMessage="1" showErrorMessage="1" xr:uid="{00000000-0002-0000-0200-000002000000}">
          <x14:formula1>
            <xm:f>Reference!$A$12:$A$19</xm:f>
          </x14:formula1>
          <xm:sqref>C10</xm:sqref>
        </x14:dataValidation>
        <x14:dataValidation type="list" allowBlank="1" showInputMessage="1" showErrorMessage="1" xr:uid="{808ED3B5-A4FF-4E44-9695-C34633BC4066}">
          <x14:formula1>
            <xm:f>Reference!$A$13:$A$15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/>
  </sheetViews>
  <sheetFormatPr defaultColWidth="12.85546875" defaultRowHeight="14.25" x14ac:dyDescent="0.2"/>
  <cols>
    <col min="1" max="3" width="25.7109375" style="15" customWidth="1"/>
    <col min="4" max="16384" width="12.85546875" style="15"/>
  </cols>
  <sheetData>
    <row r="1" spans="1:3" ht="15" x14ac:dyDescent="0.25">
      <c r="A1" s="14" t="s">
        <v>0</v>
      </c>
      <c r="B1" s="35" t="str">
        <f>IF('TCC Standard'!B1=0, "", 'TCC Standard'!B1)</f>
        <v/>
      </c>
      <c r="C1" s="35"/>
    </row>
    <row r="2" spans="1:3" ht="15" x14ac:dyDescent="0.25">
      <c r="A2" s="14" t="s">
        <v>1</v>
      </c>
      <c r="B2" s="35" t="str">
        <f>IF('TCC Standard'!B2=0, "", 'TCC Standard'!B2)</f>
        <v/>
      </c>
      <c r="C2" s="35"/>
    </row>
    <row r="3" spans="1:3" ht="15" x14ac:dyDescent="0.25">
      <c r="A3" s="14" t="s">
        <v>2</v>
      </c>
      <c r="B3" s="35" t="str">
        <f>IF('TCC Standard'!B3=0, "", 'TCC Standard'!B3)</f>
        <v/>
      </c>
      <c r="C3" s="35"/>
    </row>
    <row r="4" spans="1:3" ht="15" x14ac:dyDescent="0.25">
      <c r="A4" s="14" t="s">
        <v>3</v>
      </c>
      <c r="B4" s="36" t="str">
        <f>IF('TCC Standard'!B4=0, "", 'TCC Standard'!B4)</f>
        <v/>
      </c>
      <c r="C4" s="36"/>
    </row>
    <row r="5" spans="1:3" s="32" customFormat="1" ht="15" x14ac:dyDescent="0.25"/>
    <row r="6" spans="1:3" ht="15" x14ac:dyDescent="0.25">
      <c r="A6" s="14" t="s">
        <v>33</v>
      </c>
    </row>
    <row r="7" spans="1:3" x14ac:dyDescent="0.2">
      <c r="A7" s="16" t="s">
        <v>6</v>
      </c>
    </row>
    <row r="8" spans="1:3" x14ac:dyDescent="0.2">
      <c r="A8" s="15" t="s">
        <v>34</v>
      </c>
      <c r="C8" s="17">
        <v>0</v>
      </c>
    </row>
    <row r="10" spans="1:3" ht="15" x14ac:dyDescent="0.25">
      <c r="A10" s="27" t="s">
        <v>91</v>
      </c>
      <c r="B10" s="27"/>
      <c r="C10" s="30"/>
    </row>
    <row r="11" spans="1:3" x14ac:dyDescent="0.2">
      <c r="A11" s="33" t="s">
        <v>35</v>
      </c>
      <c r="B11" s="30"/>
      <c r="C11" s="30"/>
    </row>
    <row r="12" spans="1:3" x14ac:dyDescent="0.2">
      <c r="A12" s="30" t="s">
        <v>36</v>
      </c>
      <c r="B12" s="30"/>
      <c r="C12" s="34">
        <f>'Negotiated TCC'!C24-'For CPG'!C8</f>
        <v>90951</v>
      </c>
    </row>
    <row r="13" spans="1:3" x14ac:dyDescent="0.2">
      <c r="A13" s="30" t="s">
        <v>37</v>
      </c>
      <c r="B13" s="30"/>
      <c r="C13" s="34">
        <f>'Negotiated TCC'!C25</f>
        <v>0</v>
      </c>
    </row>
    <row r="14" spans="1:3" x14ac:dyDescent="0.2">
      <c r="A14" s="30" t="s">
        <v>38</v>
      </c>
      <c r="B14" s="30"/>
      <c r="C14" s="34">
        <f>'Negotiated TCC'!C27+'For CPG'!C8</f>
        <v>0</v>
      </c>
    </row>
    <row r="16" spans="1:3" ht="15" x14ac:dyDescent="0.25">
      <c r="A16" s="14" t="s">
        <v>39</v>
      </c>
    </row>
    <row r="17" spans="1:3" x14ac:dyDescent="0.2">
      <c r="A17" s="16" t="s">
        <v>40</v>
      </c>
    </row>
    <row r="18" spans="1:3" x14ac:dyDescent="0.2">
      <c r="A18" s="15" t="s">
        <v>93</v>
      </c>
      <c r="C18" s="23">
        <f>'Negotiated TCC'!C26</f>
        <v>0</v>
      </c>
    </row>
    <row r="19" spans="1:3" x14ac:dyDescent="0.2">
      <c r="A19" s="15" t="s">
        <v>41</v>
      </c>
      <c r="C19" s="23">
        <f>SUM(C12:C18)</f>
        <v>90951</v>
      </c>
    </row>
    <row r="20" spans="1:3" x14ac:dyDescent="0.2">
      <c r="A20" s="15" t="s">
        <v>32</v>
      </c>
      <c r="C20" s="22">
        <f>ROUND(0.18*C19, 2)</f>
        <v>16371.18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8"/>
  <sheetViews>
    <sheetView workbookViewId="0"/>
  </sheetViews>
  <sheetFormatPr defaultColWidth="12.85546875" defaultRowHeight="14.25" x14ac:dyDescent="0.2"/>
  <cols>
    <col min="1" max="1" width="27.42578125" style="1" bestFit="1" customWidth="1"/>
    <col min="2" max="3" width="12.85546875" style="1"/>
    <col min="4" max="4" width="27.42578125" style="1" customWidth="1"/>
    <col min="5" max="6" width="12.85546875" style="1"/>
    <col min="7" max="7" width="27.42578125" style="1" bestFit="1" customWidth="1"/>
    <col min="8" max="9" width="12.85546875" style="1"/>
    <col min="10" max="10" width="27.42578125" style="1" bestFit="1" customWidth="1"/>
    <col min="11" max="12" width="12.85546875" style="1"/>
    <col min="13" max="13" width="13.42578125" style="1" bestFit="1" customWidth="1"/>
    <col min="14" max="15" width="12.85546875" style="1"/>
    <col min="16" max="16" width="26.7109375" style="1" bestFit="1" customWidth="1"/>
    <col min="17" max="18" width="12.85546875" style="1"/>
    <col min="19" max="19" width="26.7109375" style="1" bestFit="1" customWidth="1"/>
    <col min="20" max="21" width="12.85546875" style="1"/>
    <col min="22" max="22" width="26.7109375" style="1" bestFit="1" customWidth="1"/>
    <col min="23" max="16384" width="12.85546875" style="1"/>
  </cols>
  <sheetData>
    <row r="1" spans="1:23" ht="15" x14ac:dyDescent="0.25">
      <c r="A1" s="2" t="s">
        <v>102</v>
      </c>
    </row>
    <row r="2" spans="1:23" x14ac:dyDescent="0.2">
      <c r="A2" s="1" t="s">
        <v>103</v>
      </c>
      <c r="B2" s="5">
        <v>85668</v>
      </c>
      <c r="C2" s="6"/>
    </row>
    <row r="3" spans="1:23" x14ac:dyDescent="0.2">
      <c r="A3" s="1" t="s">
        <v>104</v>
      </c>
      <c r="B3" s="5">
        <v>176.09</v>
      </c>
      <c r="C3" s="6"/>
    </row>
    <row r="5" spans="1:23" ht="15" x14ac:dyDescent="0.25">
      <c r="A5" s="2" t="s">
        <v>17</v>
      </c>
    </row>
    <row r="6" spans="1:23" x14ac:dyDescent="0.2">
      <c r="A6" s="1" t="s">
        <v>8</v>
      </c>
      <c r="B6" s="3">
        <v>1</v>
      </c>
    </row>
    <row r="7" spans="1:23" x14ac:dyDescent="0.2">
      <c r="A7" s="1" t="s">
        <v>66</v>
      </c>
      <c r="B7" s="3">
        <v>0.75</v>
      </c>
    </row>
    <row r="8" spans="1:23" x14ac:dyDescent="0.2">
      <c r="A8" s="1" t="s">
        <v>67</v>
      </c>
      <c r="B8" s="3">
        <v>0.65</v>
      </c>
    </row>
    <row r="9" spans="1:23" x14ac:dyDescent="0.2">
      <c r="A9" s="1" t="s">
        <v>68</v>
      </c>
      <c r="B9" s="3">
        <v>0.6</v>
      </c>
    </row>
    <row r="11" spans="1:23" ht="15" x14ac:dyDescent="0.25">
      <c r="A11" s="2" t="s">
        <v>69</v>
      </c>
      <c r="D11" s="2" t="s">
        <v>70</v>
      </c>
      <c r="G11" s="2" t="s">
        <v>71</v>
      </c>
      <c r="J11" s="2" t="s">
        <v>72</v>
      </c>
      <c r="M11" s="2" t="s">
        <v>73</v>
      </c>
      <c r="P11" s="2" t="s">
        <v>74</v>
      </c>
      <c r="S11" s="2" t="s">
        <v>75</v>
      </c>
      <c r="V11" s="2" t="s">
        <v>76</v>
      </c>
    </row>
    <row r="12" spans="1:23" x14ac:dyDescent="0.2">
      <c r="A12" s="1" t="s">
        <v>47</v>
      </c>
      <c r="D12" s="1" t="str">
        <f>$A12&amp;$A28</f>
        <v>NoneNone</v>
      </c>
      <c r="E12" s="4">
        <v>0</v>
      </c>
      <c r="G12" s="1" t="str">
        <f>$A12&amp;$A28</f>
        <v>NoneNone</v>
      </c>
      <c r="H12" s="4">
        <v>0</v>
      </c>
      <c r="J12" s="1" t="str">
        <f>$A12&amp;$A28</f>
        <v>NoneNone</v>
      </c>
      <c r="K12" s="4">
        <f>E12-H12</f>
        <v>0</v>
      </c>
      <c r="M12" s="1" t="s">
        <v>49</v>
      </c>
      <c r="N12" s="5">
        <f>ROUND(0.65*3300, 2)</f>
        <v>2145</v>
      </c>
      <c r="P12" s="1" t="str">
        <f>$A22&amp;$A28</f>
        <v>NoneNone</v>
      </c>
      <c r="Q12" s="5">
        <v>0</v>
      </c>
      <c r="S12" s="1" t="str">
        <f>$A22&amp;$A28</f>
        <v>NoneNone</v>
      </c>
      <c r="T12" s="5">
        <v>0</v>
      </c>
      <c r="V12" s="1" t="str">
        <f>$A22&amp;$A28</f>
        <v>NoneNone</v>
      </c>
      <c r="W12" s="4">
        <f t="shared" ref="W12:W21" si="0">Q12-T12</f>
        <v>0</v>
      </c>
    </row>
    <row r="13" spans="1:23" x14ac:dyDescent="0.2">
      <c r="A13" s="1" t="s">
        <v>45</v>
      </c>
      <c r="D13" s="1" t="str">
        <f>$A$13&amp;$A29</f>
        <v>PPO 80Single</v>
      </c>
      <c r="E13" s="4">
        <v>12948</v>
      </c>
      <c r="G13" s="1" t="str">
        <f>$A$13&amp;$A29</f>
        <v>PPO 80Single</v>
      </c>
      <c r="H13" s="4">
        <f>IF('TCC Standard'!$C$15&lt;0.75, ROUND(E$13*'TCC Standard'!$C$15, 2), E$13)</f>
        <v>12948</v>
      </c>
      <c r="J13" s="1" t="str">
        <f>$A$13&amp;$A29</f>
        <v>PPO 80Single</v>
      </c>
      <c r="K13" s="4">
        <f t="shared" ref="K13:K33" si="1">E13-H13</f>
        <v>0</v>
      </c>
      <c r="M13" s="1" t="s">
        <v>77</v>
      </c>
      <c r="N13" s="5">
        <f>ROUND(0.65*6600, 2)</f>
        <v>4290</v>
      </c>
      <c r="P13" s="1" t="str">
        <f>$A$23&amp;$A29</f>
        <v>PreventiveSingle</v>
      </c>
      <c r="Q13" s="5">
        <v>552</v>
      </c>
      <c r="S13" s="1" t="str">
        <f>$A$23&amp;$A29</f>
        <v>PreventiveSingle</v>
      </c>
      <c r="T13" s="5">
        <f>IF('Total Cost to Parish'!C$9="None", 0, Q$13)</f>
        <v>0</v>
      </c>
      <c r="V13" s="1" t="str">
        <f>$A$23&amp;$A29</f>
        <v>PreventiveSingle</v>
      </c>
      <c r="W13" s="4">
        <f t="shared" si="0"/>
        <v>552</v>
      </c>
    </row>
    <row r="14" spans="1:23" x14ac:dyDescent="0.2">
      <c r="A14" s="1" t="s">
        <v>78</v>
      </c>
      <c r="D14" s="1" t="str">
        <f>$A$13&amp;$A30</f>
        <v>PPO 80Employee +1</v>
      </c>
      <c r="E14" s="4">
        <v>23304</v>
      </c>
      <c r="F14" s="4"/>
      <c r="G14" s="1" t="str">
        <f>$A$13&amp;$A30</f>
        <v>PPO 80Employee +1</v>
      </c>
      <c r="H14" s="4">
        <f>IF('TCC Standard'!$C$15&lt;0.75, ROUND(E$14*'TCC Standard'!$C$15, 2), E$14)</f>
        <v>23304</v>
      </c>
      <c r="J14" s="1" t="str">
        <f>$A$13&amp;$A30</f>
        <v>PPO 80Employee +1</v>
      </c>
      <c r="K14" s="4">
        <f t="shared" si="1"/>
        <v>0</v>
      </c>
      <c r="M14" s="1" t="s">
        <v>79</v>
      </c>
      <c r="N14" s="5">
        <f>ROUND(0.65*6600, 2)</f>
        <v>4290</v>
      </c>
      <c r="P14" s="1" t="str">
        <f>$A$23&amp;$A30</f>
        <v>PreventiveEmployee +1</v>
      </c>
      <c r="Q14" s="5">
        <v>996</v>
      </c>
      <c r="S14" s="1" t="str">
        <f>$A$23&amp;$A30</f>
        <v>PreventiveEmployee +1</v>
      </c>
      <c r="T14" s="5">
        <f>IF('Total Cost to Parish'!C$9="None", 0, Q$14)</f>
        <v>0</v>
      </c>
      <c r="V14" s="1" t="str">
        <f>$A$23&amp;$A30</f>
        <v>PreventiveEmployee +1</v>
      </c>
      <c r="W14" s="4">
        <f t="shared" si="0"/>
        <v>996</v>
      </c>
    </row>
    <row r="15" spans="1:23" x14ac:dyDescent="0.2">
      <c r="A15" s="1" t="s">
        <v>80</v>
      </c>
      <c r="D15" s="1" t="str">
        <f>$A$13&amp;$A31</f>
        <v>PPO 80Family</v>
      </c>
      <c r="E15" s="4">
        <v>36252</v>
      </c>
      <c r="F15" s="4"/>
      <c r="G15" s="1" t="str">
        <f>$A$13&amp;$A31</f>
        <v>PPO 80Family</v>
      </c>
      <c r="H15" s="4">
        <f>IF('TCC Standard'!$C$15&lt;0.75, ROUND(E$15*'TCC Standard'!$C$15, 2), E$15)</f>
        <v>36252</v>
      </c>
      <c r="J15" s="1" t="str">
        <f>$A$13&amp;$A31</f>
        <v>PPO 80Family</v>
      </c>
      <c r="K15" s="4">
        <f t="shared" si="1"/>
        <v>0</v>
      </c>
      <c r="P15" s="1" t="str">
        <f>$A$23&amp;$A31</f>
        <v>PreventiveFamily</v>
      </c>
      <c r="Q15" s="5">
        <v>1548</v>
      </c>
      <c r="S15" s="1" t="str">
        <f>$A$23&amp;$A31</f>
        <v>PreventiveFamily</v>
      </c>
      <c r="T15" s="5">
        <f>IF('Total Cost to Parish'!C$9="None", 0, Q$15)</f>
        <v>0</v>
      </c>
      <c r="V15" s="1" t="str">
        <f>$A$23&amp;$A31</f>
        <v>PreventiveFamily</v>
      </c>
      <c r="W15" s="4">
        <f t="shared" si="0"/>
        <v>1548</v>
      </c>
    </row>
    <row r="16" spans="1:23" x14ac:dyDescent="0.2">
      <c r="A16" s="1" t="s">
        <v>81</v>
      </c>
      <c r="D16" s="1" t="str">
        <f>$A$14&amp;$A29</f>
        <v>PPO 90Single</v>
      </c>
      <c r="E16" s="4">
        <v>15120</v>
      </c>
      <c r="G16" s="1" t="str">
        <f>$A$14&amp;$A29</f>
        <v>PPO 90Single</v>
      </c>
      <c r="H16" s="4">
        <f>IF('TCC Standard'!$C$15&lt;0.75, ROUND(E$13*'TCC Standard'!$C$15, 2), IF(OR('Total Cost to Parish'!C$8="PPO 90", 'Total Cost to Parish'!C$8="PPO 100"), E$16, E$13))</f>
        <v>12948</v>
      </c>
      <c r="J16" s="1" t="str">
        <f>$A$14&amp;$A29</f>
        <v>PPO 90Single</v>
      </c>
      <c r="K16" s="4">
        <f t="shared" si="1"/>
        <v>2172</v>
      </c>
      <c r="P16" s="1" t="str">
        <f>$A$24&amp;$A29</f>
        <v>BasicSingle</v>
      </c>
      <c r="Q16" s="5">
        <v>768</v>
      </c>
      <c r="S16" s="1" t="str">
        <f>$A$24&amp;$A29</f>
        <v>BasicSingle</v>
      </c>
      <c r="T16" s="5">
        <f>IF('Total Cost to Parish'!C$9="None", 0, IF(OR('Total Cost to Parish'!C$9="Basic", 'Total Cost to Parish'!C$9="Orthodonture"), Q$16, Q$13))</f>
        <v>0</v>
      </c>
      <c r="V16" s="1" t="str">
        <f>$A$24&amp;$A29</f>
        <v>BasicSingle</v>
      </c>
      <c r="W16" s="4">
        <f t="shared" si="0"/>
        <v>768</v>
      </c>
    </row>
    <row r="17" spans="1:23" x14ac:dyDescent="0.2">
      <c r="A17" s="1" t="s">
        <v>82</v>
      </c>
      <c r="D17" s="1" t="str">
        <f>$A$14&amp;$A30</f>
        <v>PPO 90Employee +1</v>
      </c>
      <c r="E17" s="4">
        <v>27216</v>
      </c>
      <c r="G17" s="1" t="str">
        <f>$A$14&amp;$A30</f>
        <v>PPO 90Employee +1</v>
      </c>
      <c r="H17" s="4">
        <f>IF('TCC Standard'!$C$15&lt;0.75, ROUND(E$14*'TCC Standard'!$C$15, 2), IF(OR('Total Cost to Parish'!C$8="PPO 90", 'Total Cost to Parish'!C$8="PPO 100"), E$17, E$14))</f>
        <v>23304</v>
      </c>
      <c r="J17" s="1" t="str">
        <f>$A$14&amp;$A30</f>
        <v>PPO 90Employee +1</v>
      </c>
      <c r="K17" s="4">
        <f t="shared" si="1"/>
        <v>3912</v>
      </c>
      <c r="P17" s="1" t="str">
        <f>$A$24&amp;$A30</f>
        <v>BasicEmployee +1</v>
      </c>
      <c r="Q17" s="5">
        <v>1380</v>
      </c>
      <c r="S17" s="1" t="str">
        <f>$A$24&amp;$A30</f>
        <v>BasicEmployee +1</v>
      </c>
      <c r="T17" s="5">
        <f>IF('Total Cost to Parish'!C$9="None", 0, IF(OR('Total Cost to Parish'!C$9="Basic", 'Total Cost to Parish'!C$9="Orthodonture"), Q$17, Q$14))</f>
        <v>0</v>
      </c>
      <c r="V17" s="1" t="str">
        <f>$A$24&amp;$A30</f>
        <v>BasicEmployee +1</v>
      </c>
      <c r="W17" s="4">
        <f t="shared" si="0"/>
        <v>1380</v>
      </c>
    </row>
    <row r="18" spans="1:23" x14ac:dyDescent="0.2">
      <c r="A18" s="1" t="s">
        <v>83</v>
      </c>
      <c r="D18" s="1" t="str">
        <f>$A$14&amp;$A31</f>
        <v>PPO 90Family</v>
      </c>
      <c r="E18" s="4">
        <v>42336</v>
      </c>
      <c r="G18" s="1" t="str">
        <f>$A$14&amp;$A31</f>
        <v>PPO 90Family</v>
      </c>
      <c r="H18" s="4">
        <f>IF('TCC Standard'!$C$15&lt;0.75, ROUND(E$15*'TCC Standard'!$C$15, 2), IF(OR('Total Cost to Parish'!C$8="PPO 90", 'Total Cost to Parish'!C$8="PPO 100"), E$18, E$15))</f>
        <v>36252</v>
      </c>
      <c r="J18" s="1" t="str">
        <f>$A$14&amp;$A31</f>
        <v>PPO 90Family</v>
      </c>
      <c r="K18" s="4">
        <f t="shared" si="1"/>
        <v>6084</v>
      </c>
      <c r="P18" s="1" t="str">
        <f>$A$24&amp;$A31</f>
        <v>BasicFamily</v>
      </c>
      <c r="Q18" s="5">
        <v>2148</v>
      </c>
      <c r="S18" s="1" t="str">
        <f>$A$24&amp;$A31</f>
        <v>BasicFamily</v>
      </c>
      <c r="T18" s="5">
        <f>IF('Total Cost to Parish'!C$9="None", 0, IF(OR('Total Cost to Parish'!C$9="Basic", 'Total Cost to Parish'!C$9="Orthodonture"), Q$18, Q$15))</f>
        <v>0</v>
      </c>
      <c r="V18" s="1" t="str">
        <f>$A$24&amp;$A31</f>
        <v>BasicFamily</v>
      </c>
      <c r="W18" s="4">
        <f t="shared" si="0"/>
        <v>2148</v>
      </c>
    </row>
    <row r="19" spans="1:23" x14ac:dyDescent="0.2">
      <c r="A19" s="1" t="s">
        <v>84</v>
      </c>
      <c r="D19" s="1" t="str">
        <f>$A$15&amp;$A29</f>
        <v>PPO 100Single</v>
      </c>
      <c r="E19" s="4">
        <v>16476</v>
      </c>
      <c r="G19" s="1" t="str">
        <f>$A$15&amp;$A29</f>
        <v>PPO 100Single</v>
      </c>
      <c r="H19" s="4">
        <f>IF('TCC Standard'!$C$15&lt;0.75, ROUND(E$13*'TCC Standard'!$C$15, 2), IF('Total Cost to Parish'!C$8="PPO 90", E$16, IF('Total Cost to Parish'!C$8="PPO 100", E$19, E$13)))</f>
        <v>12948</v>
      </c>
      <c r="J19" s="1" t="str">
        <f>$A$15&amp;$A29</f>
        <v>PPO 100Single</v>
      </c>
      <c r="K19" s="4">
        <f t="shared" si="1"/>
        <v>3528</v>
      </c>
      <c r="P19" s="1" t="str">
        <f>$A$25&amp;$A29</f>
        <v>OrthodontureSingle</v>
      </c>
      <c r="Q19" s="5">
        <v>1008</v>
      </c>
      <c r="S19" s="1" t="str">
        <f>$A$25&amp;$A29</f>
        <v>OrthodontureSingle</v>
      </c>
      <c r="T19" s="5">
        <f>IF('Total Cost to Parish'!C$9="None", 0, IF('Total Cost to Parish'!C$9="Basic", Q$16, IF('Total Cost to Parish'!C$9="Orthodonture", Q$19, Q$13)))</f>
        <v>0</v>
      </c>
      <c r="V19" s="1" t="str">
        <f>$A$25&amp;$A29</f>
        <v>OrthodontureSingle</v>
      </c>
      <c r="W19" s="4">
        <f t="shared" si="0"/>
        <v>1008</v>
      </c>
    </row>
    <row r="20" spans="1:23" x14ac:dyDescent="0.2">
      <c r="D20" s="1" t="str">
        <f>$A$15&amp;$A30</f>
        <v>PPO 100Employee +1</v>
      </c>
      <c r="E20" s="4">
        <v>29652</v>
      </c>
      <c r="G20" s="1" t="str">
        <f>$A$15&amp;$A30</f>
        <v>PPO 100Employee +1</v>
      </c>
      <c r="H20" s="4">
        <f>IF('TCC Standard'!$C$15&lt;0.75, ROUND(E$14*'TCC Standard'!$C$15, 2), IF('Total Cost to Parish'!C$8="PPO 90", E$17, IF('Total Cost to Parish'!C$8="PPO 100", E$20, E$14)))</f>
        <v>23304</v>
      </c>
      <c r="J20" s="1" t="str">
        <f>$A$15&amp;$A30</f>
        <v>PPO 100Employee +1</v>
      </c>
      <c r="K20" s="4">
        <f t="shared" si="1"/>
        <v>6348</v>
      </c>
      <c r="P20" s="1" t="str">
        <f>$A$25&amp;$A30</f>
        <v>OrthodontureEmployee +1</v>
      </c>
      <c r="Q20" s="5">
        <v>1812</v>
      </c>
      <c r="S20" s="1" t="str">
        <f>$A$25&amp;$A30</f>
        <v>OrthodontureEmployee +1</v>
      </c>
      <c r="T20" s="5">
        <f>IF('Total Cost to Parish'!C$9="None", 0, IF('Total Cost to Parish'!C$9="Basic", Q$17, IF('Total Cost to Parish'!C$9="Orthodonture", Q$20, Q$14)))</f>
        <v>0</v>
      </c>
      <c r="V20" s="1" t="str">
        <f>$A$25&amp;$A30</f>
        <v>OrthodontureEmployee +1</v>
      </c>
      <c r="W20" s="4">
        <f t="shared" si="0"/>
        <v>1812</v>
      </c>
    </row>
    <row r="21" spans="1:23" ht="15" x14ac:dyDescent="0.25">
      <c r="A21" s="2" t="s">
        <v>85</v>
      </c>
      <c r="D21" s="1" t="str">
        <f>$A$15&amp;$A31</f>
        <v>PPO 100Family</v>
      </c>
      <c r="E21" s="4">
        <v>46128</v>
      </c>
      <c r="G21" s="1" t="str">
        <f>$A$15&amp;$A31</f>
        <v>PPO 100Family</v>
      </c>
      <c r="H21" s="4">
        <f>IF('TCC Standard'!$C$15&lt;0.75, ROUND(E$15*'TCC Standard'!$C$15, 2), IF('Total Cost to Parish'!C$8="PPO 90", E$18, IF('Total Cost to Parish'!C$8="PPO 100", E$21, E$15)))</f>
        <v>36252</v>
      </c>
      <c r="J21" s="1" t="str">
        <f>$A$15&amp;$A31</f>
        <v>PPO 100Family</v>
      </c>
      <c r="K21" s="4">
        <f t="shared" si="1"/>
        <v>9876</v>
      </c>
      <c r="P21" s="1" t="str">
        <f>$A$25&amp;$A31</f>
        <v>OrthodontureFamily</v>
      </c>
      <c r="Q21" s="5">
        <v>2820</v>
      </c>
      <c r="S21" s="1" t="str">
        <f>$A$25&amp;$A31</f>
        <v>OrthodontureFamily</v>
      </c>
      <c r="T21" s="5">
        <f>IF('Total Cost to Parish'!C$9="None", 0, IF('Total Cost to Parish'!C$9="Basic", Q$18, IF('Total Cost to Parish'!C$9="Orthodonture", Q$21, Q$15)))</f>
        <v>0</v>
      </c>
      <c r="V21" s="1" t="str">
        <f>$A$25&amp;$A31</f>
        <v>OrthodontureFamily</v>
      </c>
      <c r="W21" s="4">
        <f t="shared" si="0"/>
        <v>2820</v>
      </c>
    </row>
    <row r="22" spans="1:23" x14ac:dyDescent="0.2">
      <c r="A22" s="1" t="s">
        <v>47</v>
      </c>
      <c r="D22" s="1" t="str">
        <f>$A$16&amp;$A29</f>
        <v>CDHP-20Single</v>
      </c>
      <c r="E22" s="4">
        <v>10572</v>
      </c>
      <c r="F22" s="4"/>
      <c r="G22" s="1" t="str">
        <f>$A$16&amp;$A29</f>
        <v>CDHP-20Single</v>
      </c>
      <c r="H22" s="4">
        <f>IF('TCC Standard'!$C$15&lt;0.75, ROUND(E$13*'TCC Standard'!$C$15, 2), E$22)</f>
        <v>10572</v>
      </c>
      <c r="J22" s="1" t="str">
        <f>$A$16&amp;$A29</f>
        <v>CDHP-20Single</v>
      </c>
      <c r="K22" s="4">
        <f t="shared" si="1"/>
        <v>0</v>
      </c>
    </row>
    <row r="23" spans="1:23" x14ac:dyDescent="0.2">
      <c r="A23" s="1" t="s">
        <v>86</v>
      </c>
      <c r="D23" s="1" t="str">
        <f>$A$16&amp;$A30</f>
        <v>CDHP-20Employee +1</v>
      </c>
      <c r="E23" s="4">
        <v>19032</v>
      </c>
      <c r="F23" s="4"/>
      <c r="G23" s="1" t="str">
        <f>$A$16&amp;$A30</f>
        <v>CDHP-20Employee +1</v>
      </c>
      <c r="H23" s="4">
        <f>IF('TCC Standard'!$C$15&lt;0.75, ROUND(E$14*'TCC Standard'!$C$15, 2), E$23)</f>
        <v>19032</v>
      </c>
      <c r="J23" s="1" t="str">
        <f>$A$16&amp;$A30</f>
        <v>CDHP-20Employee +1</v>
      </c>
      <c r="K23" s="4">
        <f t="shared" si="1"/>
        <v>0</v>
      </c>
    </row>
    <row r="24" spans="1:23" x14ac:dyDescent="0.2">
      <c r="A24" s="1" t="s">
        <v>87</v>
      </c>
      <c r="D24" s="1" t="str">
        <f>$A$16&amp;$A31</f>
        <v>CDHP-20Family</v>
      </c>
      <c r="E24" s="4">
        <v>29604</v>
      </c>
      <c r="F24" s="4"/>
      <c r="G24" s="1" t="str">
        <f>$A$16&amp;$A31</f>
        <v>CDHP-20Family</v>
      </c>
      <c r="H24" s="4">
        <f>IF('TCC Standard'!$C$15&lt;0.75, ROUND(E$15*'TCC Standard'!$C$15, 2), E$24)</f>
        <v>29604</v>
      </c>
      <c r="J24" s="1" t="str">
        <f>$A$16&amp;$A31</f>
        <v>CDHP-20Family</v>
      </c>
      <c r="K24" s="4">
        <f t="shared" si="1"/>
        <v>0</v>
      </c>
    </row>
    <row r="25" spans="1:23" x14ac:dyDescent="0.2">
      <c r="A25" s="1" t="s">
        <v>88</v>
      </c>
      <c r="D25" s="1" t="str">
        <f>$A$17&amp;$A29</f>
        <v>MSP PPO 80Single</v>
      </c>
      <c r="E25" s="4">
        <v>10344</v>
      </c>
      <c r="F25" s="4"/>
      <c r="G25" s="1" t="str">
        <f>$A$17&amp;$A29</f>
        <v>MSP PPO 80Single</v>
      </c>
      <c r="H25" s="4">
        <f>IF('TCC Standard'!$C$15&lt;0.75, ROUND(E$13*'TCC Standard'!$C$15, 2), MIN(E25, E$13))</f>
        <v>10344</v>
      </c>
      <c r="J25" s="1" t="str">
        <f>$A$17&amp;$A29</f>
        <v>MSP PPO 80Single</v>
      </c>
      <c r="K25" s="4">
        <f t="shared" si="1"/>
        <v>0</v>
      </c>
    </row>
    <row r="26" spans="1:23" x14ac:dyDescent="0.2">
      <c r="D26" s="1" t="str">
        <f>$A$17&amp;$A30</f>
        <v>MSP PPO 80Employee +1</v>
      </c>
      <c r="E26" s="4">
        <v>18624</v>
      </c>
      <c r="F26" s="4"/>
      <c r="G26" s="1" t="str">
        <f>$A$17&amp;$A30</f>
        <v>MSP PPO 80Employee +1</v>
      </c>
      <c r="H26" s="4">
        <f>IF('TCC Standard'!$C$15&lt;0.75, ROUND(E$14*'TCC Standard'!$C$15, 2), MIN(E26, E$14))</f>
        <v>18624</v>
      </c>
      <c r="J26" s="1" t="str">
        <f>$A$17&amp;$A30</f>
        <v>MSP PPO 80Employee +1</v>
      </c>
      <c r="K26" s="4">
        <f t="shared" si="1"/>
        <v>0</v>
      </c>
    </row>
    <row r="27" spans="1:23" ht="15" x14ac:dyDescent="0.25">
      <c r="A27" s="2" t="s">
        <v>89</v>
      </c>
      <c r="D27" s="1" t="str">
        <f>$A$17&amp;$A31</f>
        <v>MSP PPO 80Family</v>
      </c>
      <c r="E27" s="4">
        <v>28968</v>
      </c>
      <c r="F27" s="4"/>
      <c r="G27" s="1" t="str">
        <f>$A$17&amp;$A31</f>
        <v>MSP PPO 80Family</v>
      </c>
      <c r="H27" s="4">
        <f>IF('TCC Standard'!$C$15&lt;0.75, ROUND(E$15*'TCC Standard'!$C$15, 2), MIN(E27, E$15))</f>
        <v>28968</v>
      </c>
      <c r="J27" s="1" t="str">
        <f>$A$17&amp;$A31</f>
        <v>MSP PPO 80Family</v>
      </c>
      <c r="K27" s="4">
        <f t="shared" si="1"/>
        <v>0</v>
      </c>
    </row>
    <row r="28" spans="1:23" x14ac:dyDescent="0.2">
      <c r="A28" s="1" t="s">
        <v>47</v>
      </c>
      <c r="D28" s="1" t="str">
        <f>$A$18&amp;$A29</f>
        <v>MSP PPO 90Single</v>
      </c>
      <c r="E28" s="4">
        <v>12084</v>
      </c>
      <c r="F28" s="4"/>
      <c r="G28" s="1" t="str">
        <f>$A$18&amp;$A29</f>
        <v>MSP PPO 90Single</v>
      </c>
      <c r="H28" s="4">
        <f>IF('TCC Standard'!$C$15&lt;0.75, ROUND(E$13*'TCC Standard'!$C$15, 2), IF(OR('Total Cost to Parish'!C$8="PPO 90", 'Total Cost to Parish'!C$8="PPO 100"), MIN(E28, E$16), MIN(E28, E$13)))</f>
        <v>12084</v>
      </c>
      <c r="J28" s="1" t="str">
        <f>$A$18&amp;$A29</f>
        <v>MSP PPO 90Single</v>
      </c>
      <c r="K28" s="4">
        <f t="shared" si="1"/>
        <v>0</v>
      </c>
    </row>
    <row r="29" spans="1:23" x14ac:dyDescent="0.2">
      <c r="A29" s="1" t="s">
        <v>49</v>
      </c>
      <c r="D29" s="1" t="str">
        <f>$A$18&amp;$A30</f>
        <v>MSP PPO 90Employee +1</v>
      </c>
      <c r="E29" s="4">
        <v>21756</v>
      </c>
      <c r="F29" s="4"/>
      <c r="G29" s="1" t="str">
        <f>$A$18&amp;$A30</f>
        <v>MSP PPO 90Employee +1</v>
      </c>
      <c r="H29" s="4">
        <f>IF('TCC Standard'!$C$15&lt;0.75, ROUND(E$14*'TCC Standard'!$C$15, 2), IF(OR('Total Cost to Parish'!C$8="PPO 90", 'Total Cost to Parish'!C$8="PPO 100"), MIN(E29, E$17), MIN(E29, E$14)))</f>
        <v>21756</v>
      </c>
      <c r="J29" s="1" t="str">
        <f>$A$18&amp;$A30</f>
        <v>MSP PPO 90Employee +1</v>
      </c>
      <c r="K29" s="4">
        <f t="shared" si="1"/>
        <v>0</v>
      </c>
    </row>
    <row r="30" spans="1:23" x14ac:dyDescent="0.2">
      <c r="A30" s="1" t="s">
        <v>77</v>
      </c>
      <c r="D30" s="1" t="str">
        <f>$A$18&amp;$A31</f>
        <v>MSP PPO 90Family</v>
      </c>
      <c r="E30" s="4">
        <v>33840</v>
      </c>
      <c r="F30" s="4"/>
      <c r="G30" s="1" t="str">
        <f>$A$18&amp;$A31</f>
        <v>MSP PPO 90Family</v>
      </c>
      <c r="H30" s="4">
        <f>IF('TCC Standard'!$C$15&lt;0.75, ROUND(E$15*'TCC Standard'!$C$15, 2), IF(OR('Total Cost to Parish'!C$8="PPO 90", 'Total Cost to Parish'!C$8="PPO 100"), MIN(E30, E$18), MIN(E30, E$15)))</f>
        <v>33840</v>
      </c>
      <c r="J30" s="1" t="str">
        <f>$A$18&amp;$A31</f>
        <v>MSP PPO 90Family</v>
      </c>
      <c r="K30" s="4">
        <f t="shared" si="1"/>
        <v>0</v>
      </c>
    </row>
    <row r="31" spans="1:23" x14ac:dyDescent="0.2">
      <c r="A31" s="1" t="s">
        <v>79</v>
      </c>
      <c r="D31" s="1" t="str">
        <f>$A$19&amp;$A29</f>
        <v>MSP PPO 100Single</v>
      </c>
      <c r="E31" s="4">
        <v>13212</v>
      </c>
      <c r="F31" s="4"/>
      <c r="G31" s="1" t="str">
        <f>$A$19&amp;$A29</f>
        <v>MSP PPO 100Single</v>
      </c>
      <c r="H31" s="4">
        <f>IF('TCC Standard'!$C$15&lt;0.75, ROUND(E$13*'TCC Standard'!$C$15, 2), IF('Total Cost to Parish'!C$8="PPO 90", MIN(E31, E$16), IF('Total Cost to Parish'!C$8="PPO 100", MIN(E31, E$16), E$13)))</f>
        <v>12948</v>
      </c>
      <c r="J31" s="1" t="str">
        <f>$A$19&amp;$A29</f>
        <v>MSP PPO 100Single</v>
      </c>
      <c r="K31" s="4">
        <f t="shared" si="1"/>
        <v>264</v>
      </c>
    </row>
    <row r="32" spans="1:23" x14ac:dyDescent="0.2">
      <c r="D32" s="1" t="str">
        <f>$A$19&amp;$A30</f>
        <v>MSP PPO 100Employee +1</v>
      </c>
      <c r="E32" s="4">
        <v>23784</v>
      </c>
      <c r="F32" s="4"/>
      <c r="G32" s="1" t="str">
        <f>$A$19&amp;$A30</f>
        <v>MSP PPO 100Employee +1</v>
      </c>
      <c r="H32" s="4">
        <f>IF('TCC Standard'!$C$15&lt;0.75, ROUND(E$14*'TCC Standard'!$C$15, 2), IF('Total Cost to Parish'!C$8="PPO 90", MIN(E32, E$17), IF('Total Cost to Parish'!C$8="PPO 100", MIN(E32, E$16), E$14)))</f>
        <v>23304</v>
      </c>
      <c r="J32" s="1" t="str">
        <f>$A$19&amp;$A30</f>
        <v>MSP PPO 100Employee +1</v>
      </c>
      <c r="K32" s="4">
        <f t="shared" si="1"/>
        <v>480</v>
      </c>
    </row>
    <row r="33" spans="1:11" x14ac:dyDescent="0.2">
      <c r="D33" s="1" t="str">
        <f>$A$19&amp;$A31</f>
        <v>MSP PPO 100Family</v>
      </c>
      <c r="E33" s="4">
        <v>36996</v>
      </c>
      <c r="F33" s="4"/>
      <c r="G33" s="1" t="str">
        <f>$A$19&amp;$A31</f>
        <v>MSP PPO 100Family</v>
      </c>
      <c r="H33" s="4">
        <f>IF('TCC Standard'!$C$15&lt;0.75, ROUND(E$15*'TCC Standard'!$C$15, 2), IF('Total Cost to Parish'!C$8="PPO 90", MIN(E33, E$18), IF('Total Cost to Parish'!C$8="PPO 100", MIN(E33, E$18), E$15)))</f>
        <v>36252</v>
      </c>
      <c r="J33" s="1" t="str">
        <f>$A$19&amp;$A31</f>
        <v>MSP PPO 100Family</v>
      </c>
      <c r="K33" s="4">
        <f t="shared" si="1"/>
        <v>744</v>
      </c>
    </row>
    <row r="35" spans="1:11" ht="15" x14ac:dyDescent="0.25">
      <c r="A35" s="2" t="s">
        <v>90</v>
      </c>
    </row>
    <row r="36" spans="1:11" x14ac:dyDescent="0.2">
      <c r="A36" s="1" t="s">
        <v>12</v>
      </c>
      <c r="B36" s="5">
        <v>0.3</v>
      </c>
    </row>
    <row r="37" spans="1:11" x14ac:dyDescent="0.2">
      <c r="A37" s="1" t="s">
        <v>13</v>
      </c>
      <c r="B37" s="5">
        <v>0.4</v>
      </c>
    </row>
    <row r="38" spans="1:11" x14ac:dyDescent="0.2">
      <c r="A38" s="1" t="s">
        <v>14</v>
      </c>
      <c r="B38" s="5">
        <v>0.3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FC01AAEE98B48B47BC954761CDB63" ma:contentTypeVersion="14" ma:contentTypeDescription="Create a new document." ma:contentTypeScope="" ma:versionID="aafdeaf6c1f7d7a0e401500010fdee5f">
  <xsd:schema xmlns:xsd="http://www.w3.org/2001/XMLSchema" xmlns:xs="http://www.w3.org/2001/XMLSchema" xmlns:p="http://schemas.microsoft.com/office/2006/metadata/properties" xmlns:ns2="87417d13-efd0-48ad-bc12-3579d4699b61" xmlns:ns3="9a0c8ee2-b1dd-4801-a080-91fb4527a7aa" targetNamespace="http://schemas.microsoft.com/office/2006/metadata/properties" ma:root="true" ma:fieldsID="46cfa83c37cc3324cfd090c5fdec8536" ns2:_="" ns3:_="">
    <xsd:import namespace="87417d13-efd0-48ad-bc12-3579d4699b61"/>
    <xsd:import namespace="9a0c8ee2-b1dd-4801-a080-91fb4527a7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17d13-efd0-48ad-bc12-3579d4699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fcfe46-68c9-429a-a036-a5695c795c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c8ee2-b1dd-4801-a080-91fb4527a7a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417d13-efd0-48ad-bc12-3579d4699b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9E1593-2D9C-46B6-92FE-6205D42EE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17d13-efd0-48ad-bc12-3579d4699b61"/>
    <ds:schemaRef ds:uri="9a0c8ee2-b1dd-4801-a080-91fb4527a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7D031E-5C13-4710-9422-1A32E9DF5E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7D03B-F4C0-4DB9-B191-54A1CFBFB9F5}">
  <ds:schemaRefs>
    <ds:schemaRef ds:uri="http://schemas.microsoft.com/office/2006/metadata/properties"/>
    <ds:schemaRef ds:uri="http://schemas.microsoft.com/office/infopath/2007/PartnerControls"/>
    <ds:schemaRef ds:uri="87417d13-efd0-48ad-bc12-3579d4699b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TCC Standard</vt:lpstr>
      <vt:lpstr>Negotiated TCC</vt:lpstr>
      <vt:lpstr>Total Cost to Parish</vt:lpstr>
      <vt:lpstr>For CPG</vt:lpstr>
      <vt:lpstr>Reference</vt:lpstr>
    </vt:vector>
  </TitlesOfParts>
  <Manager/>
  <Company>Episcopal Diocese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Fasman, Nathaniel</dc:creator>
  <cp:keywords/>
  <dc:description/>
  <cp:lastModifiedBy>Fasman, Nathaniel</cp:lastModifiedBy>
  <cp:revision/>
  <dcterms:created xsi:type="dcterms:W3CDTF">2021-04-30T21:48:36Z</dcterms:created>
  <dcterms:modified xsi:type="dcterms:W3CDTF">2024-11-05T21:34:14Z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0x01010005CFC01AAEE98B48B47BC954761CDB63</vt:lpwstr>
  </property>
  <property fmtid="{D5CDD505-2E9C-101B-9397-08002B2CF9AE}" pid="3" name="MediaServiceImageTags">
    <vt:lpwstr/>
  </property>
</Properties>
</file>